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"/>
    </mc:Choice>
  </mc:AlternateContent>
  <xr:revisionPtr revIDLastSave="0" documentId="8_{07360EAA-C287-4479-8475-2FE07044D01B}" xr6:coauthVersionLast="36" xr6:coauthVersionMax="36" xr10:uidLastSave="{00000000-0000-0000-0000-000000000000}"/>
  <bookViews>
    <workbookView xWindow="0" yWindow="0" windowWidth="24000" windowHeight="967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Input'!$A$1:$H$43</definedName>
    <definedName name="_xlnm.Print_Area" localSheetId="2">'Financial Input'!$A$1:$N$60</definedName>
    <definedName name="_xlnm.Print_Area" localSheetId="0">Summary!$B$31:$AA$36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Z32" i="4" l="1"/>
  <c r="B35" i="4"/>
  <c r="B98" i="4"/>
  <c r="AA34" i="4" s="1"/>
  <c r="C98" i="4"/>
  <c r="D98" i="4" s="1"/>
  <c r="B86" i="4"/>
  <c r="D86" i="4" s="1"/>
  <c r="C86" i="4"/>
  <c r="Z33" i="4" s="1"/>
  <c r="B74" i="4"/>
  <c r="AA32" i="4" s="1"/>
  <c r="C74" i="4"/>
  <c r="B62" i="4"/>
  <c r="C62" i="4"/>
  <c r="G33" i="5"/>
  <c r="G41" i="5"/>
  <c r="M12" i="5"/>
  <c r="Z34" i="4" l="1"/>
  <c r="Z35" i="4" s="1"/>
  <c r="AA33" i="4"/>
  <c r="AA35" i="4" s="1"/>
  <c r="D74" i="4"/>
  <c r="D62" i="4"/>
  <c r="C91" i="4"/>
  <c r="G34" i="4" s="1"/>
  <c r="C92" i="4"/>
  <c r="J34" i="4" s="1"/>
  <c r="C93" i="4"/>
  <c r="M34" i="4" s="1"/>
  <c r="C94" i="4"/>
  <c r="P34" i="4" s="1"/>
  <c r="C96" i="4"/>
  <c r="V34" i="4" s="1"/>
  <c r="C97" i="4"/>
  <c r="X34" i="4" s="1"/>
  <c r="B91" i="4"/>
  <c r="H34" i="4" s="1"/>
  <c r="B92" i="4"/>
  <c r="K34" i="4" s="1"/>
  <c r="B93" i="4"/>
  <c r="N34" i="4" s="1"/>
  <c r="B96" i="4"/>
  <c r="W34" i="4" s="1"/>
  <c r="B97" i="4"/>
  <c r="Y34" i="4" s="1"/>
  <c r="C79" i="4"/>
  <c r="G33" i="4" s="1"/>
  <c r="C80" i="4"/>
  <c r="J33" i="4" s="1"/>
  <c r="C81" i="4"/>
  <c r="M33" i="4" s="1"/>
  <c r="C82" i="4"/>
  <c r="P33" i="4" s="1"/>
  <c r="C84" i="4"/>
  <c r="V33" i="4" s="1"/>
  <c r="C85" i="4"/>
  <c r="X33" i="4" s="1"/>
  <c r="B79" i="4"/>
  <c r="H33" i="4" s="1"/>
  <c r="B80" i="4"/>
  <c r="K33" i="4" s="1"/>
  <c r="K35" i="4" s="1"/>
  <c r="B81" i="4"/>
  <c r="N33" i="4" s="1"/>
  <c r="B83" i="4"/>
  <c r="T33" i="4" s="1"/>
  <c r="B84" i="4"/>
  <c r="W33" i="4" s="1"/>
  <c r="B85" i="4"/>
  <c r="Y33" i="4" s="1"/>
  <c r="C67" i="4"/>
  <c r="G32" i="4" s="1"/>
  <c r="C68" i="4"/>
  <c r="J32" i="4" s="1"/>
  <c r="J35" i="4" s="1"/>
  <c r="C69" i="4"/>
  <c r="M32" i="4" s="1"/>
  <c r="C70" i="4"/>
  <c r="P32" i="4" s="1"/>
  <c r="P35" i="4" s="1"/>
  <c r="C71" i="4"/>
  <c r="S32" i="4" s="1"/>
  <c r="C72" i="4"/>
  <c r="V32" i="4" s="1"/>
  <c r="V35" i="4" s="1"/>
  <c r="C73" i="4"/>
  <c r="X32" i="4" s="1"/>
  <c r="B67" i="4"/>
  <c r="H32" i="4" s="1"/>
  <c r="H35" i="4" s="1"/>
  <c r="B68" i="4"/>
  <c r="K32" i="4" s="1"/>
  <c r="B69" i="4"/>
  <c r="N32" i="4" s="1"/>
  <c r="N35" i="4" s="1"/>
  <c r="B70" i="4"/>
  <c r="Q32" i="4" s="1"/>
  <c r="B71" i="4"/>
  <c r="T32" i="4" s="1"/>
  <c r="B72" i="4"/>
  <c r="W32" i="4" s="1"/>
  <c r="B73" i="4"/>
  <c r="Y32" i="4" s="1"/>
  <c r="Y35" i="4" s="1"/>
  <c r="Z36" i="4" l="1"/>
  <c r="X35" i="4"/>
  <c r="X36" i="4" s="1"/>
  <c r="W35" i="4"/>
  <c r="V36" i="4" s="1"/>
  <c r="M35" i="4"/>
  <c r="M36" i="4" s="1"/>
  <c r="G35" i="4"/>
  <c r="G36" i="4" s="1"/>
  <c r="J36" i="4"/>
  <c r="D97" i="4"/>
  <c r="D85" i="4"/>
  <c r="D73" i="4"/>
  <c r="B61" i="4"/>
  <c r="C61" i="4"/>
  <c r="G37" i="5"/>
  <c r="D61" i="4" l="1"/>
  <c r="C23" i="3"/>
  <c r="C83" i="4" s="1"/>
  <c r="S33" i="4" s="1"/>
  <c r="D23" i="3"/>
  <c r="C95" i="4" s="1"/>
  <c r="S34" i="4" s="1"/>
  <c r="H23" i="3"/>
  <c r="B95" i="4" s="1"/>
  <c r="T34" i="4" s="1"/>
  <c r="T35" i="4" s="1"/>
  <c r="G22" i="3"/>
  <c r="B82" i="4" s="1"/>
  <c r="Q33" i="4" s="1"/>
  <c r="H22" i="3"/>
  <c r="B94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M16" i="5" l="1"/>
  <c r="M8" i="5"/>
  <c r="B30" i="3" l="1"/>
  <c r="B14" i="3"/>
  <c r="A52" i="4"/>
  <c r="C90" i="4"/>
  <c r="D34" i="4" s="1"/>
  <c r="B90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6" i="4"/>
  <c r="D32" i="4" s="1"/>
  <c r="B66" i="4"/>
  <c r="E32" i="4" s="1"/>
  <c r="C78" i="4"/>
  <c r="D33" i="4" s="1"/>
  <c r="B78" i="4"/>
  <c r="E33" i="4" s="1"/>
  <c r="E35" i="4" s="1"/>
  <c r="C5" i="3"/>
  <c r="D35" i="4" l="1"/>
  <c r="D36" i="4"/>
  <c r="C2" i="4"/>
  <c r="A88" i="4" l="1"/>
  <c r="B34" i="4" s="1"/>
  <c r="A76" i="4"/>
  <c r="B33" i="4" s="1"/>
  <c r="A64" i="4"/>
  <c r="B32" i="4" s="1"/>
  <c r="D70" i="4" l="1"/>
  <c r="D78" i="4"/>
  <c r="D96" i="4"/>
  <c r="D95" i="4"/>
  <c r="D92" i="4"/>
  <c r="D91" i="4"/>
  <c r="D94" i="4"/>
  <c r="D90" i="4"/>
  <c r="D93" i="4"/>
  <c r="D81" i="4"/>
  <c r="D66" i="4"/>
  <c r="D84" i="4"/>
  <c r="D80" i="4"/>
  <c r="D83" i="4"/>
  <c r="D79" i="4"/>
  <c r="D82" i="4"/>
  <c r="D69" i="4"/>
  <c r="D72" i="4"/>
  <c r="D68" i="4"/>
  <c r="D71" i="4"/>
  <c r="D67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<sst xmlns="http://schemas.openxmlformats.org/spreadsheetml/2006/main" count="168" uniqueCount="54">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</sst>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0" fillId="0" borderId="0" xfId="0" applyNumberFormat="1" applyFill="1" applyBorder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Summary!$B$54:$B$62</c:f>
              <c:numCache>
                <c:formatCode>_(* #,##0.00_);_(* \(#,##0.00\);_(* "-"??_);_(@_)</c:formatCode>
                <c:ptCount val="9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Summary!$C$54:$C$62</c:f>
              <c:numCache>
                <c:formatCode>_(* #,##0.00_);_(* \(#,##0.00\);_(* "-"??_);_(@_)</c:formatCode>
                <c:ptCount val="9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Summary!$D$54:$D$62</c:f>
              <c:numCache>
                <c:formatCode>0%</c:formatCode>
                <c:ptCount val="9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Summary!$A$66:$A$74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Summary!$B$66:$B$74</c:f>
              <c:numCache>
                <c:formatCode>_(* #,##0_);_(* \(#,##0\);_(* "-"??_);_(@_)</c:formatCode>
                <c:ptCount val="9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Summary!$A$66:$A$74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Summary!$C$66:$C$74</c:f>
              <c:numCache>
                <c:formatCode>_(* #,##0_);_(* \(#,##0\);_(* "-"??_);_(@_)</c:formatCode>
                <c:ptCount val="9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Summary!$A$66:$A$74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Summary!$D$66:$D$74</c:f>
              <c:numCache>
                <c:formatCode>0.00</c:formatCode>
                <c:ptCount val="9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Summary!$A$76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Summary!$A$78:$A$86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Summary!$B$78:$B$86</c:f>
              <c:numCache>
                <c:formatCode>_(* #,##0_);_(* \(#,##0\);_(* "-"??_);_(@_)</c:formatCode>
                <c:ptCount val="9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Summary!$A$78:$A$86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Summary!$C$78:$C$86</c:f>
              <c:numCache>
                <c:formatCode>_(* #,##0_);_(* \(#,##0\);_(* "-"??_);_(@_)</c:formatCode>
                <c:ptCount val="9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Summary!$A$78:$A$86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Summary!$D$78:$D$86</c:f>
              <c:numCache>
                <c:formatCode>0.00</c:formatCode>
                <c:ptCount val="9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Summary!$A$90:$A$98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Summary!$B$90:$B$98</c:f>
              <c:numCache>
                <c:formatCode>_(* #,##0_);_(* \(#,##0\);_(* "-"??_);_(@_)</c:formatCode>
                <c:ptCount val="9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Summary!$A$90:$A$98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Summary!$C$90:$C$98</c:f>
              <c:numCache>
                <c:formatCode>_(* #,##0_);_(* \(#,##0\);_(* "-"??_);_(@_)</c:formatCode>
                <c:ptCount val="9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Summary!$A$90:$A$98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Summary!$D$90:$D$98</c:f>
              <c:numCache>
                <c:formatCode>0.00</c:formatCode>
                <c:ptCount val="9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23</xdr:col>
      <xdr:colOff>148167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6</xdr:col>
      <xdr:colOff>296335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359833</xdr:colOff>
      <xdr:row>18</xdr:row>
      <xdr:rowOff>127008</xdr:rowOff>
    </xdr:from>
    <xdr:to>
      <xdr:col>15</xdr:col>
      <xdr:colOff>190500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254002</xdr:colOff>
      <xdr:row>18</xdr:row>
      <xdr:rowOff>127009</xdr:rowOff>
    </xdr:from>
    <xdr:to>
      <xdr:col>23</xdr:col>
      <xdr:colOff>151342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98"/>
  <sheetViews>
    <sheetView topLeftCell="A11" zoomScale="90" zoomScaleNormal="90" workbookViewId="0">
      <selection activeCell="B36" sqref="B36"/>
    </sheetView>
  </sheetViews>
  <sheetFormatPr defaultRowHeight="15" x14ac:dyDescent="0.25"/>
  <cols>
    <col min="1" max="1" width="3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24</v>
      </c>
      <c r="C31" s="11"/>
      <c r="D31" s="59" t="s">
        <v>8</v>
      </c>
      <c r="E31" s="59"/>
      <c r="F31" s="55"/>
      <c r="G31" s="59" t="s">
        <v>9</v>
      </c>
      <c r="H31" s="59"/>
      <c r="I31" s="55"/>
      <c r="J31" s="59" t="s">
        <v>10</v>
      </c>
      <c r="K31" s="59"/>
      <c r="L31" s="55"/>
      <c r="M31" s="59" t="s">
        <v>2</v>
      </c>
      <c r="N31" s="59"/>
      <c r="O31" s="55"/>
      <c r="P31" s="59" t="s">
        <v>11</v>
      </c>
      <c r="Q31" s="59"/>
      <c r="R31" s="55"/>
      <c r="S31" s="59" t="s">
        <v>12</v>
      </c>
      <c r="T31" s="59"/>
      <c r="U31" s="55"/>
      <c r="V31" s="59" t="s">
        <v>13</v>
      </c>
      <c r="W31" s="59"/>
      <c r="X31" s="59" t="s">
        <v>52</v>
      </c>
      <c r="Y31" s="59"/>
      <c r="Z31" s="59" t="s">
        <v>53</v>
      </c>
      <c r="AA31" s="59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A64</f>
        <v>Residential Demand (Kgal)</v>
      </c>
      <c r="C32" s="11"/>
      <c r="D32" s="15">
        <f>C66</f>
        <v>49996</v>
      </c>
      <c r="E32" s="14">
        <f>B66</f>
        <v>44769</v>
      </c>
      <c r="G32" s="15">
        <f>C67</f>
        <v>42168</v>
      </c>
      <c r="H32" s="14">
        <f>B67</f>
        <v>45502</v>
      </c>
      <c r="J32" s="15">
        <f>C68</f>
        <v>37537</v>
      </c>
      <c r="K32" s="14">
        <f>B68</f>
        <v>36081</v>
      </c>
      <c r="M32" s="15">
        <f>C69</f>
        <v>39883</v>
      </c>
      <c r="N32" s="14">
        <f>B69</f>
        <v>45570</v>
      </c>
      <c r="P32" s="15">
        <f>C70</f>
        <v>50498</v>
      </c>
      <c r="Q32" s="14">
        <f>B70</f>
        <v>55783</v>
      </c>
      <c r="S32" s="15">
        <f>C71</f>
        <v>51383</v>
      </c>
      <c r="T32" s="14">
        <f>B71</f>
        <v>58740</v>
      </c>
      <c r="V32" s="15">
        <f>C72</f>
        <v>71400</v>
      </c>
      <c r="W32" s="14">
        <f>B72</f>
        <v>78887</v>
      </c>
      <c r="X32" s="15">
        <f>C73</f>
        <v>62313</v>
      </c>
      <c r="Y32" s="14">
        <f>B73</f>
        <v>74265</v>
      </c>
      <c r="Z32" s="15">
        <f>C74</f>
        <v>57107</v>
      </c>
      <c r="AA32" s="14">
        <f>B74</f>
        <v>69149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A76</f>
        <v>Non-Residential Demand (Kgal)</v>
      </c>
      <c r="C33" s="11"/>
      <c r="D33" s="15">
        <f>C78</f>
        <v>29366</v>
      </c>
      <c r="E33" s="14">
        <f>B78</f>
        <v>25488</v>
      </c>
      <c r="G33" s="15">
        <f>C79</f>
        <v>25412</v>
      </c>
      <c r="H33" s="14">
        <f>B79</f>
        <v>28967</v>
      </c>
      <c r="J33" s="15">
        <f>C80</f>
        <v>24018</v>
      </c>
      <c r="K33" s="14">
        <f>B80</f>
        <v>23746</v>
      </c>
      <c r="M33" s="15">
        <f>C81</f>
        <v>28279</v>
      </c>
      <c r="N33" s="14">
        <f>B81</f>
        <v>14933</v>
      </c>
      <c r="P33" s="15">
        <f>C82</f>
        <v>36817</v>
      </c>
      <c r="Q33" s="14">
        <f>B82</f>
        <v>21309</v>
      </c>
      <c r="S33" s="15">
        <f>C83</f>
        <v>39671</v>
      </c>
      <c r="T33" s="14">
        <f>B83</f>
        <v>26764</v>
      </c>
      <c r="V33" s="15">
        <f>C84</f>
        <v>54156</v>
      </c>
      <c r="W33" s="14">
        <f>B84</f>
        <v>47532</v>
      </c>
      <c r="X33" s="15">
        <f>C85</f>
        <v>49071</v>
      </c>
      <c r="Y33" s="14">
        <f>B85</f>
        <v>49007</v>
      </c>
      <c r="Z33" s="15">
        <f>C86</f>
        <v>48372</v>
      </c>
      <c r="AA33" s="14">
        <f>B86</f>
        <v>47640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A88</f>
        <v>Wholesale Demand (Kgal)</v>
      </c>
      <c r="C34" s="11"/>
      <c r="D34" s="15">
        <f>C90</f>
        <v>47777</v>
      </c>
      <c r="E34" s="14">
        <f>B90</f>
        <v>45213</v>
      </c>
      <c r="G34" s="15">
        <f>C91</f>
        <v>42881</v>
      </c>
      <c r="H34" s="14">
        <f>B91</f>
        <v>46053</v>
      </c>
      <c r="J34" s="15">
        <f>C92</f>
        <v>38510</v>
      </c>
      <c r="K34" s="14">
        <f>B92</f>
        <v>40390</v>
      </c>
      <c r="M34" s="15">
        <f>C93</f>
        <v>39535</v>
      </c>
      <c r="N34" s="14">
        <f>B93</f>
        <v>42282</v>
      </c>
      <c r="P34" s="15">
        <f>C94</f>
        <v>47488</v>
      </c>
      <c r="Q34" s="14">
        <f>B94</f>
        <v>48210</v>
      </c>
      <c r="S34" s="15">
        <f>C95</f>
        <v>52336</v>
      </c>
      <c r="T34" s="14">
        <f>B95</f>
        <v>56754</v>
      </c>
      <c r="V34" s="15">
        <f>C96</f>
        <v>58778</v>
      </c>
      <c r="W34" s="14">
        <f>B96</f>
        <v>62781</v>
      </c>
      <c r="X34" s="15">
        <f>C97</f>
        <v>58188</v>
      </c>
      <c r="Y34" s="14">
        <f>B97</f>
        <v>75127</v>
      </c>
      <c r="Z34" s="15">
        <f>C98</f>
        <v>59318</v>
      </c>
      <c r="AA34" s="14">
        <f>B98</f>
        <v>64642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6">
        <f>E35/D35-1</f>
        <v>-9.1781436066037947E-2</v>
      </c>
      <c r="E36" s="57"/>
      <c r="F36" s="19"/>
      <c r="G36" s="56">
        <f>H35/G35-1</f>
        <v>9.1081920315767562E-2</v>
      </c>
      <c r="H36" s="57"/>
      <c r="I36" s="19"/>
      <c r="J36" s="56">
        <f>K35/J35-1</f>
        <v>1.5190126417827798E-3</v>
      </c>
      <c r="K36" s="57"/>
      <c r="L36" s="19"/>
      <c r="M36" s="56">
        <f>N35/M35-1</f>
        <v>-4.5609441302914666E-2</v>
      </c>
      <c r="N36" s="57"/>
      <c r="O36" s="19"/>
      <c r="P36" s="56">
        <f>Q35/P35-1</f>
        <v>-7.0480627285742892E-2</v>
      </c>
      <c r="Q36" s="57"/>
      <c r="R36" s="19"/>
      <c r="S36" s="56">
        <f>T35/S35-1</f>
        <v>-7.8945533161308701E-3</v>
      </c>
      <c r="T36" s="57"/>
      <c r="U36" s="19"/>
      <c r="V36" s="56">
        <f>W35/V35-1</f>
        <v>2.639773454707206E-2</v>
      </c>
      <c r="W36" s="57"/>
      <c r="X36" s="56">
        <f>Y35/X35-1</f>
        <v>0.1699985846719978</v>
      </c>
      <c r="Y36" s="57"/>
      <c r="Z36" s="56">
        <f>AA35/Z35-1</f>
        <v>0.10093630345212601</v>
      </c>
      <c r="AA36" s="57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8" t="s">
        <v>25</v>
      </c>
      <c r="B50" s="58"/>
      <c r="C50" s="58"/>
      <c r="D50" s="58"/>
      <c r="E50" s="5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Input'!F33</f>
        <v>4.62</v>
      </c>
      <c r="C54" s="23">
        <f>'Demand Input'!D33</f>
        <v>5.0999999999999996</v>
      </c>
      <c r="D54" s="5">
        <f t="shared" ref="D54:D60" si="1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Input'!F34</f>
        <v>4.71</v>
      </c>
      <c r="C55" s="23">
        <f>'Demand Input'!D34</f>
        <v>5.0599999999999996</v>
      </c>
      <c r="D55" s="5">
        <f t="shared" si="1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Input'!F35</f>
        <v>4.58</v>
      </c>
      <c r="C56" s="23">
        <f>'Demand Input'!D35</f>
        <v>5.01</v>
      </c>
      <c r="D56" s="5">
        <f t="shared" si="1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Input'!F36</f>
        <v>4.75</v>
      </c>
      <c r="C57" s="23">
        <f>'Demand Input'!D36</f>
        <v>5.21</v>
      </c>
      <c r="D57" s="5">
        <f t="shared" si="1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Input'!F37</f>
        <v>5.3</v>
      </c>
      <c r="C58" s="23">
        <f>'Demand Input'!D37</f>
        <v>5.53</v>
      </c>
      <c r="D58" s="5">
        <f t="shared" si="1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Input'!F38</f>
        <v>6.45</v>
      </c>
      <c r="C59" s="23">
        <f>'Demand Input'!D38</f>
        <v>5.89</v>
      </c>
      <c r="D59" s="5">
        <f t="shared" si="1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Input'!F39</f>
        <v>7.65</v>
      </c>
      <c r="C60" s="23">
        <f>'Demand Input'!D39</f>
        <v>6.85</v>
      </c>
      <c r="D60" s="5">
        <f t="shared" si="1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52</v>
      </c>
      <c r="B61" s="23">
        <f>'Demand Input'!F40</f>
        <v>7.5</v>
      </c>
      <c r="C61" s="23">
        <f>'Demand Input'!D40</f>
        <v>7.01</v>
      </c>
      <c r="D61" s="5">
        <f t="shared" ref="D61" si="2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53</v>
      </c>
      <c r="B62" s="23">
        <f>'Demand Input'!F41</f>
        <v>6.81</v>
      </c>
      <c r="C62" s="23">
        <f>'Demand Input'!D41</f>
        <v>6.18</v>
      </c>
      <c r="D62" s="5">
        <f t="shared" ref="D62" si="3">B62/C62</f>
        <v>1.1019417475728155</v>
      </c>
      <c r="E62" s="5"/>
      <c r="F62" s="5"/>
      <c r="I62" s="5"/>
      <c r="L62" s="5"/>
      <c r="O62" s="5"/>
      <c r="R62" s="5"/>
      <c r="U62" s="5"/>
    </row>
    <row r="64" spans="1:21" x14ac:dyDescent="0.25">
      <c r="A64" s="7" t="str">
        <f>"Residential Demand ("&amp;'Demand Input'!$C$9&amp;")"</f>
        <v>Residential Demand (Kgal)</v>
      </c>
    </row>
    <row r="65" spans="1:21" x14ac:dyDescent="0.25">
      <c r="A65" s="2" t="s">
        <v>3</v>
      </c>
      <c r="B65" s="3" t="s">
        <v>0</v>
      </c>
      <c r="C65" s="3" t="s">
        <v>1</v>
      </c>
    </row>
    <row r="66" spans="1:21" x14ac:dyDescent="0.25">
      <c r="A66" s="1" t="s">
        <v>8</v>
      </c>
      <c r="B66" s="6">
        <f>'Demand Input'!F18</f>
        <v>44769</v>
      </c>
      <c r="C66" s="6">
        <f>'Demand Input'!B18</f>
        <v>49996</v>
      </c>
      <c r="D66" s="4">
        <f>B66/C66</f>
        <v>0.89545163613089052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9</v>
      </c>
      <c r="B67" s="6">
        <f>'Demand Input'!F19</f>
        <v>45502</v>
      </c>
      <c r="C67" s="6">
        <f>'Demand Input'!B19</f>
        <v>42168</v>
      </c>
      <c r="D67" s="4">
        <f t="shared" ref="D67:D72" si="4">B67/C67</f>
        <v>1.0790646936065262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10</v>
      </c>
      <c r="B68" s="6">
        <f>'Demand Input'!F20</f>
        <v>36081</v>
      </c>
      <c r="C68" s="6">
        <f>'Demand Input'!B20</f>
        <v>37537</v>
      </c>
      <c r="D68" s="4">
        <f t="shared" si="4"/>
        <v>0.96121160455017718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2</v>
      </c>
      <c r="B69" s="6">
        <f>'Demand Input'!F21</f>
        <v>45570</v>
      </c>
      <c r="C69" s="6">
        <f>'Demand Input'!B21</f>
        <v>39883</v>
      </c>
      <c r="D69" s="4">
        <f t="shared" si="4"/>
        <v>1.1425920818393802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11</v>
      </c>
      <c r="B70" s="6">
        <f>'Demand Input'!F22</f>
        <v>55783</v>
      </c>
      <c r="C70" s="6">
        <f>'Demand Input'!B22</f>
        <v>50498</v>
      </c>
      <c r="D70" s="4">
        <f t="shared" si="4"/>
        <v>1.1046576102023842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12</v>
      </c>
      <c r="B71" s="6">
        <f>'Demand Input'!F23</f>
        <v>58740</v>
      </c>
      <c r="C71" s="6">
        <f>'Demand Input'!B23</f>
        <v>51383</v>
      </c>
      <c r="D71" s="4">
        <f t="shared" si="4"/>
        <v>1.1431796508572873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13</v>
      </c>
      <c r="B72" s="6">
        <f>'Demand Input'!F24</f>
        <v>78887</v>
      </c>
      <c r="C72" s="6">
        <f>'Demand Input'!B24</f>
        <v>71400</v>
      </c>
      <c r="D72" s="4">
        <f t="shared" si="4"/>
        <v>1.104859943977591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52</v>
      </c>
      <c r="B73" s="6">
        <f>'Demand Input'!F25</f>
        <v>74265</v>
      </c>
      <c r="C73" s="6">
        <f>'Demand Input'!B25</f>
        <v>62313</v>
      </c>
      <c r="D73" s="4">
        <f t="shared" ref="D73" si="5">B73/C73</f>
        <v>1.191805883202542</v>
      </c>
    </row>
    <row r="74" spans="1:21" s="9" customFormat="1" x14ac:dyDescent="0.25">
      <c r="A74" s="1" t="s">
        <v>53</v>
      </c>
      <c r="B74" s="6">
        <f>'Demand Input'!F26</f>
        <v>69149</v>
      </c>
      <c r="C74" s="6">
        <f>'Demand Input'!B26</f>
        <v>57107</v>
      </c>
      <c r="D74" s="4">
        <f t="shared" ref="D74" si="6">B74/C74</f>
        <v>1.210867319242825</v>
      </c>
    </row>
    <row r="76" spans="1:21" x14ac:dyDescent="0.25">
      <c r="A76" s="7" t="str">
        <f>"Non-Residential Demand ("&amp;'Demand Input'!$C$9&amp;")"</f>
        <v>Non-Residential Demand (Kgal)</v>
      </c>
    </row>
    <row r="77" spans="1:21" x14ac:dyDescent="0.25">
      <c r="A77" s="2" t="s">
        <v>3</v>
      </c>
      <c r="B77" s="3" t="s">
        <v>0</v>
      </c>
      <c r="C77" s="3" t="s">
        <v>1</v>
      </c>
    </row>
    <row r="78" spans="1:21" x14ac:dyDescent="0.25">
      <c r="A78" s="1" t="s">
        <v>8</v>
      </c>
      <c r="B78" s="6">
        <f>'Demand Input'!G18</f>
        <v>25488</v>
      </c>
      <c r="C78" s="6">
        <f>'Demand Input'!C18</f>
        <v>29366</v>
      </c>
      <c r="D78" s="4">
        <f>B78/C78</f>
        <v>0.86794251855887761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9</v>
      </c>
      <c r="B79" s="6">
        <f>'Demand Input'!G19</f>
        <v>28967</v>
      </c>
      <c r="C79" s="6">
        <f>'Demand Input'!C19</f>
        <v>25412</v>
      </c>
      <c r="D79" s="4">
        <f t="shared" ref="D79:D84" si="7">B79/C79</f>
        <v>1.139894538013537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10</v>
      </c>
      <c r="B80" s="6">
        <f>'Demand Input'!G20</f>
        <v>23746</v>
      </c>
      <c r="C80" s="6">
        <f>'Demand Input'!C20</f>
        <v>24018</v>
      </c>
      <c r="D80" s="4">
        <f t="shared" si="7"/>
        <v>0.98867516029644431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2</v>
      </c>
      <c r="B81" s="6">
        <f>'Demand Input'!G21</f>
        <v>14933</v>
      </c>
      <c r="C81" s="6">
        <f>'Demand Input'!C21</f>
        <v>28279</v>
      </c>
      <c r="D81" s="4">
        <f t="shared" si="7"/>
        <v>0.52805969093673755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11</v>
      </c>
      <c r="B82" s="6">
        <f>'Demand Input'!G22</f>
        <v>21309</v>
      </c>
      <c r="C82" s="6">
        <f>'Demand Input'!C22</f>
        <v>36817</v>
      </c>
      <c r="D82" s="4">
        <f t="shared" si="7"/>
        <v>0.57878154113588831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12</v>
      </c>
      <c r="B83" s="6">
        <f>'Demand Input'!G23</f>
        <v>26764</v>
      </c>
      <c r="C83" s="6">
        <f>'Demand Input'!C23</f>
        <v>39671</v>
      </c>
      <c r="D83" s="4">
        <f t="shared" si="7"/>
        <v>0.67464898792568884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13</v>
      </c>
      <c r="B84" s="6">
        <f>'Demand Input'!G24</f>
        <v>47532</v>
      </c>
      <c r="C84" s="6">
        <f>'Demand Input'!C24</f>
        <v>54156</v>
      </c>
      <c r="D84" s="4">
        <f t="shared" si="7"/>
        <v>0.87768668291602037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52</v>
      </c>
      <c r="B85" s="6">
        <f>'Demand Input'!G25</f>
        <v>49007</v>
      </c>
      <c r="C85" s="6">
        <f>'Demand Input'!C25</f>
        <v>49071</v>
      </c>
      <c r="D85" s="4">
        <f t="shared" ref="D85" si="8">B85/C85</f>
        <v>0.99869576735750243</v>
      </c>
    </row>
    <row r="86" spans="1:21" s="9" customFormat="1" x14ac:dyDescent="0.25">
      <c r="A86" s="1" t="s">
        <v>53</v>
      </c>
      <c r="B86" s="6">
        <f>'Demand Input'!G26</f>
        <v>47640</v>
      </c>
      <c r="C86" s="6">
        <f>'Demand Input'!C26</f>
        <v>48372</v>
      </c>
      <c r="D86" s="4">
        <f t="shared" ref="D86" si="9">B86/C86</f>
        <v>0.98486727859092038</v>
      </c>
    </row>
    <row r="88" spans="1:21" x14ac:dyDescent="0.25">
      <c r="A88" s="7" t="str">
        <f>"Wholesale Demand ("&amp;'Demand Input'!$C$9&amp;")"</f>
        <v>Wholesale Demand (Kgal)</v>
      </c>
    </row>
    <row r="89" spans="1:21" x14ac:dyDescent="0.25">
      <c r="A89" s="2" t="s">
        <v>3</v>
      </c>
      <c r="B89" s="3" t="s">
        <v>0</v>
      </c>
      <c r="C89" s="3" t="s">
        <v>1</v>
      </c>
    </row>
    <row r="90" spans="1:21" x14ac:dyDescent="0.25">
      <c r="A90" s="1" t="s">
        <v>8</v>
      </c>
      <c r="B90" s="6">
        <f>'Demand Input'!H18</f>
        <v>45213</v>
      </c>
      <c r="C90" s="6">
        <f>'Demand Input'!D18</f>
        <v>47777</v>
      </c>
      <c r="D90" s="4">
        <f>B90/C90</f>
        <v>0.94633401008853635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9</v>
      </c>
      <c r="B91" s="6">
        <f>'Demand Input'!H19</f>
        <v>46053</v>
      </c>
      <c r="C91" s="6">
        <f>'Demand Input'!D19</f>
        <v>42881</v>
      </c>
      <c r="D91" s="4">
        <f t="shared" ref="D91:D96" si="10">B91/C91</f>
        <v>1.0739721555001049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10</v>
      </c>
      <c r="B92" s="6">
        <f>'Demand Input'!H20</f>
        <v>40390</v>
      </c>
      <c r="C92" s="6">
        <f>'Demand Input'!D20</f>
        <v>38510</v>
      </c>
      <c r="D92" s="4">
        <f t="shared" si="10"/>
        <v>1.0488184887042327</v>
      </c>
      <c r="E92" s="4"/>
      <c r="F92" s="4"/>
      <c r="I92" s="4"/>
      <c r="L92" s="4"/>
      <c r="O92" s="4"/>
      <c r="R92" s="4"/>
      <c r="U92" s="4"/>
    </row>
    <row r="93" spans="1:21" x14ac:dyDescent="0.25">
      <c r="A93" s="1" t="s">
        <v>2</v>
      </c>
      <c r="B93" s="6">
        <f>'Demand Input'!H21</f>
        <v>42282</v>
      </c>
      <c r="C93" s="6">
        <f>'Demand Input'!D21</f>
        <v>39535</v>
      </c>
      <c r="D93" s="4">
        <f t="shared" si="10"/>
        <v>1.06948273681548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11</v>
      </c>
      <c r="B94" s="6">
        <f>'Demand Input'!H22</f>
        <v>48210</v>
      </c>
      <c r="C94" s="6">
        <f>'Demand Input'!D22</f>
        <v>47488</v>
      </c>
      <c r="D94" s="4">
        <f t="shared" si="10"/>
        <v>1.0152038409703503</v>
      </c>
      <c r="E94" s="4"/>
      <c r="F94" s="4"/>
      <c r="I94" s="4"/>
      <c r="L94" s="4"/>
      <c r="O94" s="4"/>
      <c r="R94" s="4"/>
      <c r="U94" s="4"/>
    </row>
    <row r="95" spans="1:21" x14ac:dyDescent="0.25">
      <c r="A95" s="1" t="s">
        <v>12</v>
      </c>
      <c r="B95" s="6">
        <f>'Demand Input'!H23</f>
        <v>56754</v>
      </c>
      <c r="C95" s="6">
        <f>'Demand Input'!D23</f>
        <v>52336</v>
      </c>
      <c r="D95" s="4">
        <f t="shared" si="10"/>
        <v>1.0844160807092633</v>
      </c>
      <c r="E95" s="4"/>
      <c r="F95" s="4"/>
      <c r="I95" s="4"/>
      <c r="L95" s="4"/>
      <c r="O95" s="4"/>
      <c r="R95" s="4"/>
      <c r="U95" s="4"/>
    </row>
    <row r="96" spans="1:21" x14ac:dyDescent="0.25">
      <c r="A96" s="1" t="s">
        <v>13</v>
      </c>
      <c r="B96" s="6">
        <f>'Demand Input'!H24</f>
        <v>62781</v>
      </c>
      <c r="C96" s="6">
        <f>'Demand Input'!D24</f>
        <v>58778</v>
      </c>
      <c r="D96" s="4">
        <f t="shared" si="10"/>
        <v>1.0681037122732995</v>
      </c>
      <c r="E96" s="4"/>
      <c r="F96" s="4"/>
      <c r="I96" s="4"/>
      <c r="L96" s="4"/>
      <c r="O96" s="4"/>
      <c r="R96" s="4"/>
      <c r="U96" s="4"/>
    </row>
    <row r="97" spans="1:4" x14ac:dyDescent="0.25">
      <c r="A97" s="1" t="s">
        <v>52</v>
      </c>
      <c r="B97" s="6">
        <f>'Demand Input'!H25</f>
        <v>75127</v>
      </c>
      <c r="C97" s="6">
        <f>'Demand Input'!D25</f>
        <v>58188</v>
      </c>
      <c r="D97" s="4">
        <f t="shared" ref="D97" si="11">B97/C97</f>
        <v>1.2911081322609472</v>
      </c>
    </row>
    <row r="98" spans="1:4" x14ac:dyDescent="0.25">
      <c r="A98" s="1" t="s">
        <v>53</v>
      </c>
      <c r="B98" s="6">
        <f>'Demand Input'!H26</f>
        <v>64642</v>
      </c>
      <c r="C98" s="6">
        <f>'Demand Input'!D26</f>
        <v>59318</v>
      </c>
      <c r="D98" s="4">
        <f t="shared" ref="D98" si="12">B98/C98</f>
        <v>1.0897535318115918</v>
      </c>
    </row>
  </sheetData>
  <mergeCells count="21">
    <mergeCell ref="X31:Y31"/>
    <mergeCell ref="X36:Y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Z36:AA36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89"/>
  <sheetViews>
    <sheetView showGridLines="0" tabSelected="1" topLeftCell="A32" zoomScaleNormal="100" workbookViewId="0">
      <selection activeCell="G46" sqref="G46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6" t="s">
        <v>22</v>
      </c>
      <c r="B1" s="67"/>
      <c r="C1" s="67"/>
      <c r="D1" s="67"/>
      <c r="E1" s="67"/>
      <c r="F1" s="67"/>
      <c r="G1" s="67"/>
      <c r="H1" s="6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7"/>
      <c r="B2" s="67"/>
      <c r="C2" s="67"/>
      <c r="D2" s="67"/>
      <c r="E2" s="67"/>
      <c r="F2" s="67"/>
      <c r="G2" s="67"/>
      <c r="H2" s="6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7"/>
      <c r="B3" s="67"/>
      <c r="C3" s="67"/>
      <c r="D3" s="67"/>
      <c r="E3" s="67"/>
      <c r="F3" s="67"/>
      <c r="G3" s="67"/>
      <c r="H3" s="6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7"/>
      <c r="B4" s="67"/>
      <c r="C4" s="67"/>
      <c r="D4" s="67"/>
      <c r="E4" s="67"/>
      <c r="F4" s="67"/>
      <c r="G4" s="67"/>
      <c r="H4" s="67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8" t="str">
        <f>C8</f>
        <v>Newport Water Division</v>
      </c>
      <c r="D5" s="68"/>
      <c r="E5" s="68"/>
      <c r="F5" s="68"/>
      <c r="G5" s="68"/>
      <c r="H5" s="6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8"/>
      <c r="D6" s="68"/>
      <c r="E6" s="68"/>
      <c r="F6" s="68"/>
      <c r="G6" s="68"/>
      <c r="H6" s="6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70" t="s">
        <v>47</v>
      </c>
      <c r="D8" s="70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0" t="s">
        <v>46</v>
      </c>
      <c r="D9" s="70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70" t="s">
        <v>23</v>
      </c>
      <c r="D10" s="70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5"/>
      <c r="C12" s="65"/>
      <c r="D12" s="65"/>
      <c r="E12" s="65"/>
      <c r="F12" s="65"/>
      <c r="G12" s="65"/>
      <c r="H12" s="65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9" t="str">
        <f>"Input Customer Demand ("&amp;C9&amp;")"</f>
        <v>Input Customer Demand (Kgal)</v>
      </c>
      <c r="C14" s="69"/>
      <c r="D14" s="69"/>
      <c r="E14" s="69"/>
      <c r="F14" s="69"/>
      <c r="G14" s="69"/>
      <c r="H14" s="6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3" t="s">
        <v>16</v>
      </c>
      <c r="C15" s="63"/>
      <c r="D15" s="63"/>
      <c r="E15" s="63"/>
      <c r="F15" s="63"/>
      <c r="G15" s="63"/>
      <c r="H15" s="6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71" t="s">
        <v>18</v>
      </c>
      <c r="C16" s="71"/>
      <c r="D16" s="71"/>
      <c r="E16" s="37"/>
      <c r="F16" s="71" t="s">
        <v>17</v>
      </c>
      <c r="G16" s="71"/>
      <c r="H16" s="71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49996</v>
      </c>
      <c r="C18" s="21">
        <v>29366</v>
      </c>
      <c r="D18" s="21">
        <v>47777</v>
      </c>
      <c r="E18" s="22"/>
      <c r="F18" s="21">
        <v>44769</v>
      </c>
      <c r="G18" s="21">
        <v>25488</v>
      </c>
      <c r="H18" s="21">
        <v>45213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42168</v>
      </c>
      <c r="C19" s="21">
        <v>25412</v>
      </c>
      <c r="D19" s="21">
        <v>42881</v>
      </c>
      <c r="E19" s="22"/>
      <c r="F19" s="21">
        <v>45502</v>
      </c>
      <c r="G19" s="21">
        <v>28967</v>
      </c>
      <c r="H19" s="21">
        <v>46053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37537</v>
      </c>
      <c r="C20" s="21">
        <v>24018</v>
      </c>
      <c r="D20" s="21">
        <v>38510</v>
      </c>
      <c r="E20" s="22"/>
      <c r="F20" s="21">
        <v>36081</v>
      </c>
      <c r="G20" s="21">
        <v>23746</v>
      </c>
      <c r="H20" s="21">
        <v>40390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39883</v>
      </c>
      <c r="C21" s="21">
        <v>28279</v>
      </c>
      <c r="D21" s="21">
        <v>39535</v>
      </c>
      <c r="E21" s="22"/>
      <c r="F21" s="21">
        <v>45570</v>
      </c>
      <c r="G21" s="21">
        <v>14933</v>
      </c>
      <c r="H21" s="21">
        <v>42282</v>
      </c>
      <c r="I21" s="50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50498</v>
      </c>
      <c r="C22" s="21">
        <v>36817</v>
      </c>
      <c r="D22" s="21">
        <v>47488</v>
      </c>
      <c r="E22" s="22"/>
      <c r="F22" s="21">
        <v>55783</v>
      </c>
      <c r="G22" s="21">
        <f>20416+893</f>
        <v>21309</v>
      </c>
      <c r="H22" s="21">
        <f>14820+33390</f>
        <v>48210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51383</v>
      </c>
      <c r="C23" s="21">
        <f>38205+1466</f>
        <v>39671</v>
      </c>
      <c r="D23" s="21">
        <f>14736+37600</f>
        <v>52336</v>
      </c>
      <c r="E23" s="22"/>
      <c r="F23" s="21">
        <v>58740</v>
      </c>
      <c r="G23" s="21">
        <v>26764</v>
      </c>
      <c r="H23" s="21">
        <f>13624+43130</f>
        <v>56754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71400</v>
      </c>
      <c r="C24" s="21">
        <v>54156</v>
      </c>
      <c r="D24" s="21">
        <v>58778</v>
      </c>
      <c r="E24" s="22"/>
      <c r="F24" s="21">
        <v>78887</v>
      </c>
      <c r="G24" s="21">
        <v>47532</v>
      </c>
      <c r="H24" s="21">
        <v>62781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3" t="s">
        <v>52</v>
      </c>
      <c r="B25" s="21">
        <v>62313</v>
      </c>
      <c r="C25" s="21">
        <v>49071</v>
      </c>
      <c r="D25" s="21">
        <v>58188</v>
      </c>
      <c r="E25" s="22"/>
      <c r="F25" s="21">
        <v>74265</v>
      </c>
      <c r="G25" s="21">
        <v>49007</v>
      </c>
      <c r="H25" s="21">
        <v>75127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3" t="s">
        <v>53</v>
      </c>
      <c r="B26" s="21">
        <v>57107</v>
      </c>
      <c r="C26" s="21">
        <v>48372</v>
      </c>
      <c r="D26" s="21">
        <v>59318</v>
      </c>
      <c r="E26" s="22"/>
      <c r="F26" s="21">
        <v>69149</v>
      </c>
      <c r="G26" s="21">
        <v>47640</v>
      </c>
      <c r="H26" s="21">
        <v>64642</v>
      </c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.25" customHeight="1" x14ac:dyDescent="0.25">
      <c r="A28" s="37"/>
      <c r="B28" s="64"/>
      <c r="C28" s="64"/>
      <c r="D28" s="64"/>
      <c r="E28" s="64"/>
      <c r="F28" s="64"/>
      <c r="G28" s="64"/>
      <c r="H28" s="64"/>
      <c r="I28" s="29"/>
      <c r="J28" s="2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6.75" customHeight="1" x14ac:dyDescent="0.25">
      <c r="A29" s="3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69" t="str">
        <f>"Input Water Produced ("&amp;C10&amp;")"</f>
        <v>Input Water Produced (MGD)</v>
      </c>
      <c r="C30" s="69"/>
      <c r="D30" s="69"/>
      <c r="E30" s="69"/>
      <c r="F30" s="69"/>
      <c r="G30" s="69"/>
      <c r="H30" s="6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63" t="s">
        <v>21</v>
      </c>
      <c r="C31" s="63"/>
      <c r="D31" s="63"/>
      <c r="E31" s="63"/>
      <c r="F31" s="63"/>
      <c r="G31" s="63"/>
      <c r="H31" s="6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23.25" x14ac:dyDescent="0.35">
      <c r="A32" s="38"/>
      <c r="B32" s="35" t="s">
        <v>51</v>
      </c>
      <c r="C32" s="39" t="s">
        <v>50</v>
      </c>
      <c r="D32" s="40" t="s">
        <v>18</v>
      </c>
      <c r="E32" s="41"/>
      <c r="F32" s="40" t="s">
        <v>17</v>
      </c>
      <c r="G32" s="42"/>
      <c r="H32" s="35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 t="s">
        <v>45</v>
      </c>
      <c r="C33" s="43" t="s">
        <v>8</v>
      </c>
      <c r="D33" s="20">
        <v>5.0999999999999996</v>
      </c>
      <c r="E33" s="44"/>
      <c r="F33" s="20">
        <v>4.62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 t="s">
        <v>8</v>
      </c>
      <c r="C34" s="43" t="s">
        <v>9</v>
      </c>
      <c r="D34" s="20">
        <v>5.0599999999999996</v>
      </c>
      <c r="E34" s="44"/>
      <c r="F34" s="20">
        <v>4.71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 t="s">
        <v>9</v>
      </c>
      <c r="C35" s="43" t="s">
        <v>10</v>
      </c>
      <c r="D35" s="20">
        <v>5.01</v>
      </c>
      <c r="E35" s="44"/>
      <c r="F35" s="20">
        <v>4.58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10</v>
      </c>
      <c r="C36" s="43" t="s">
        <v>2</v>
      </c>
      <c r="D36" s="20">
        <v>5.21</v>
      </c>
      <c r="E36" s="44"/>
      <c r="F36" s="20">
        <v>4.75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2</v>
      </c>
      <c r="C37" s="43" t="s">
        <v>11</v>
      </c>
      <c r="D37" s="20">
        <v>5.53</v>
      </c>
      <c r="E37" s="44"/>
      <c r="F37" s="20">
        <v>5.3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11</v>
      </c>
      <c r="C38" s="43" t="s">
        <v>12</v>
      </c>
      <c r="D38" s="20">
        <v>5.89</v>
      </c>
      <c r="E38" s="44"/>
      <c r="F38" s="20">
        <v>6.45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12</v>
      </c>
      <c r="C39" s="43" t="s">
        <v>13</v>
      </c>
      <c r="D39" s="20">
        <v>6.85</v>
      </c>
      <c r="E39" s="44"/>
      <c r="F39" s="20">
        <v>7.65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13</v>
      </c>
      <c r="C40" s="43" t="s">
        <v>52</v>
      </c>
      <c r="D40" s="20">
        <v>7.01</v>
      </c>
      <c r="E40" s="44"/>
      <c r="F40" s="20">
        <v>7.5</v>
      </c>
      <c r="G40" s="45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52</v>
      </c>
      <c r="C41" s="43" t="s">
        <v>53</v>
      </c>
      <c r="D41" s="20">
        <v>6.18</v>
      </c>
      <c r="E41" s="44"/>
      <c r="F41" s="20">
        <v>6.81</v>
      </c>
      <c r="G41" s="29"/>
      <c r="H41" s="29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29"/>
      <c r="E42" s="29"/>
      <c r="F42" s="29"/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</sheetData>
  <mergeCells count="13">
    <mergeCell ref="B31:H31"/>
    <mergeCell ref="B28:H28"/>
    <mergeCell ref="B12:H12"/>
    <mergeCell ref="A1:H4"/>
    <mergeCell ref="C5:H6"/>
    <mergeCell ref="B30:H30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0387"/>
  <sheetViews>
    <sheetView topLeftCell="A4" workbookViewId="0">
      <selection activeCell="K1" sqref="K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7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53</v>
      </c>
      <c r="E8" s="27">
        <v>1768410</v>
      </c>
      <c r="G8" s="27">
        <v>317328</v>
      </c>
      <c r="I8" s="27">
        <v>115570</v>
      </c>
      <c r="K8" s="27">
        <v>173174</v>
      </c>
      <c r="M8" s="27">
        <f>SUM(E8,G8,I8,K8)</f>
        <v>2374482</v>
      </c>
      <c r="N8" s="8"/>
      <c r="O8" s="51"/>
      <c r="T8" s="32"/>
      <c r="U8" s="32"/>
      <c r="V8" s="32"/>
      <c r="W8" s="32"/>
      <c r="X8" s="32"/>
    </row>
    <row r="9" spans="1:24" x14ac:dyDescent="0.25">
      <c r="C9" s="26" t="s">
        <v>29</v>
      </c>
      <c r="D9" s="26"/>
      <c r="E9" s="26" t="s">
        <v>30</v>
      </c>
      <c r="F9" s="26"/>
      <c r="G9" s="26" t="s">
        <v>31</v>
      </c>
      <c r="H9" s="26"/>
      <c r="I9" s="26" t="s">
        <v>48</v>
      </c>
      <c r="J9" s="26"/>
      <c r="K9" s="26" t="s">
        <v>49</v>
      </c>
      <c r="L9" s="26"/>
      <c r="M9" s="26" t="s">
        <v>32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52</v>
      </c>
      <c r="E12" s="27">
        <v>1800468.2754000034</v>
      </c>
      <c r="G12" s="27">
        <v>383986.39679999772</v>
      </c>
      <c r="I12" s="27">
        <v>109330.41420000061</v>
      </c>
      <c r="K12" s="27">
        <v>138073.33980000025</v>
      </c>
      <c r="M12" s="27">
        <f>SUM(E12,G12,I12,K12)</f>
        <v>2431858.426200002</v>
      </c>
      <c r="N12" s="8"/>
      <c r="O12" s="51"/>
      <c r="T12" s="32"/>
      <c r="U12" s="32"/>
      <c r="V12" s="32"/>
      <c r="W12" s="32"/>
      <c r="X12" s="32"/>
    </row>
    <row r="13" spans="1:24" x14ac:dyDescent="0.25">
      <c r="C13" s="26" t="s">
        <v>33</v>
      </c>
      <c r="D13" s="26"/>
      <c r="E13" s="26" t="s">
        <v>30</v>
      </c>
      <c r="F13" s="26"/>
      <c r="G13" s="26" t="s">
        <v>31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32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53</v>
      </c>
      <c r="E16" s="27">
        <v>1528508</v>
      </c>
      <c r="G16" s="27">
        <v>316198</v>
      </c>
      <c r="I16" s="27">
        <v>109587</v>
      </c>
      <c r="K16" s="27">
        <v>106387</v>
      </c>
      <c r="M16" s="27">
        <f>SUM(E16,G16,I16,K16)</f>
        <v>2060680</v>
      </c>
      <c r="N16" s="8"/>
      <c r="T16" s="32"/>
      <c r="U16" s="32"/>
      <c r="V16" s="32"/>
      <c r="W16" s="32"/>
      <c r="X16" s="32"/>
    </row>
    <row r="17" spans="1:24" x14ac:dyDescent="0.25">
      <c r="C17" s="26" t="s">
        <v>34</v>
      </c>
      <c r="D17" s="26"/>
      <c r="E17" s="26" t="s">
        <v>30</v>
      </c>
      <c r="F17" s="26"/>
      <c r="G17" s="26" t="s">
        <v>31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32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52</v>
      </c>
      <c r="E20" s="27">
        <v>1632613.1202000075</v>
      </c>
      <c r="G20" s="27">
        <v>243717</v>
      </c>
      <c r="I20" s="27">
        <v>82914</v>
      </c>
      <c r="K20" s="54">
        <v>54656</v>
      </c>
      <c r="M20" s="27">
        <v>2013900.1202000075</v>
      </c>
      <c r="N20" s="8"/>
      <c r="T20" s="32"/>
      <c r="U20" s="32"/>
      <c r="V20" s="32"/>
      <c r="W20" s="32"/>
      <c r="X20" s="32"/>
    </row>
    <row r="21" spans="1:24" x14ac:dyDescent="0.25">
      <c r="C21" s="26" t="s">
        <v>35</v>
      </c>
      <c r="D21" s="26"/>
      <c r="E21" s="26" t="s">
        <v>30</v>
      </c>
      <c r="F21" s="26"/>
      <c r="G21" s="26" t="s">
        <v>31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32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54"/>
      <c r="L27" s="54"/>
      <c r="M27" s="54"/>
      <c r="N27" s="54"/>
      <c r="O27" s="54"/>
      <c r="P27" s="54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53</v>
      </c>
      <c r="D29" s="49"/>
      <c r="E29" s="52">
        <v>3093</v>
      </c>
      <c r="F29" s="49"/>
      <c r="G29" s="27">
        <f>G8+I8+K8</f>
        <v>606072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29</v>
      </c>
      <c r="D30" s="26"/>
      <c r="E30" s="28" t="s">
        <v>38</v>
      </c>
      <c r="F30" s="26"/>
      <c r="G30" s="28" t="s">
        <v>39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52</v>
      </c>
      <c r="D33" s="49"/>
      <c r="E33" s="52">
        <v>2998</v>
      </c>
      <c r="F33" s="49"/>
      <c r="G33" s="27">
        <f>G12+I12+K12</f>
        <v>631390.15079999855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33</v>
      </c>
      <c r="D34" s="26"/>
      <c r="E34" s="28" t="s">
        <v>38</v>
      </c>
      <c r="F34" s="26"/>
      <c r="G34" s="28" t="s">
        <v>39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53</v>
      </c>
      <c r="D37" s="26"/>
      <c r="E37" s="52">
        <v>2837</v>
      </c>
      <c r="F37" s="26"/>
      <c r="G37" s="27">
        <f>G16+I16+K16</f>
        <v>532172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34</v>
      </c>
      <c r="D38" s="26"/>
      <c r="E38" s="28" t="s">
        <v>38</v>
      </c>
      <c r="F38" s="26"/>
      <c r="G38" s="28" t="s">
        <v>39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52</v>
      </c>
      <c r="D41" s="26"/>
      <c r="E41" s="52">
        <v>3061</v>
      </c>
      <c r="F41" s="26"/>
      <c r="G41" s="27">
        <f>G20+I20+K20</f>
        <v>381287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35</v>
      </c>
      <c r="D42" s="26"/>
      <c r="E42" s="28" t="s">
        <v>38</v>
      </c>
      <c r="F42" s="26"/>
      <c r="G42" s="28" t="s">
        <v>39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40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41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53">
        <v>44118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53</v>
      </c>
      <c r="D50" s="26"/>
      <c r="E50" s="27">
        <v>519339</v>
      </c>
      <c r="F50" s="26"/>
      <c r="G50" s="25" t="s">
        <v>52</v>
      </c>
      <c r="H50" s="26"/>
      <c r="I50" s="27">
        <v>2075036</v>
      </c>
      <c r="K50" s="32"/>
      <c r="L50" s="32"/>
      <c r="M50" s="32"/>
      <c r="T50" s="32"/>
      <c r="U50" s="32"/>
      <c r="V50" s="32"/>
    </row>
    <row r="51" spans="1:22" x14ac:dyDescent="0.25">
      <c r="C51" s="26" t="s">
        <v>29</v>
      </c>
      <c r="D51" s="26"/>
      <c r="E51" s="28" t="s">
        <v>42</v>
      </c>
      <c r="F51" s="26"/>
      <c r="G51" s="26" t="s">
        <v>33</v>
      </c>
      <c r="H51" s="26"/>
      <c r="I51" s="28" t="s">
        <v>42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53</v>
      </c>
      <c r="D55" s="26"/>
      <c r="E55" s="27">
        <v>1732766</v>
      </c>
      <c r="F55" s="26"/>
      <c r="G55" s="25" t="s">
        <v>52</v>
      </c>
      <c r="H55" s="26"/>
      <c r="I55" s="27">
        <v>1536340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43</v>
      </c>
      <c r="D56" s="26"/>
      <c r="E56" s="28" t="s">
        <v>42</v>
      </c>
      <c r="F56" s="26"/>
      <c r="G56" s="28" t="s">
        <v>44</v>
      </c>
      <c r="H56" s="26"/>
      <c r="I56" s="28" t="s">
        <v>42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s="32" customFormat="1" x14ac:dyDescent="0.25"/>
    <row r="68" spans="1:22" s="32" customFormat="1" x14ac:dyDescent="0.25"/>
    <row r="69" spans="1:22" s="32" customFormat="1" x14ac:dyDescent="0.25"/>
    <row r="70" spans="1:22" s="32" customFormat="1" x14ac:dyDescent="0.25"/>
    <row r="71" spans="1:22" s="32" customFormat="1" x14ac:dyDescent="0.25"/>
    <row r="72" spans="1:22" s="32" customFormat="1" x14ac:dyDescent="0.25"/>
    <row r="73" spans="1:22" s="32" customFormat="1" x14ac:dyDescent="0.25"/>
    <row r="74" spans="1:22" s="32" customFormat="1" x14ac:dyDescent="0.25"/>
    <row r="75" spans="1:22" s="32" customFormat="1" x14ac:dyDescent="0.25"/>
    <row r="76" spans="1:22" s="32" customFormat="1" x14ac:dyDescent="0.25"/>
    <row r="77" spans="1:22" s="32" customFormat="1" x14ac:dyDescent="0.25"/>
    <row r="78" spans="1:22" s="32" customFormat="1" x14ac:dyDescent="0.25"/>
    <row r="79" spans="1:22" s="32" customFormat="1" x14ac:dyDescent="0.25"/>
    <row r="80" spans="1:22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2020-10-07T19:43:51Z</cp:lastPrinted>
  <dcterms:created xsi:type="dcterms:W3CDTF">2020-04-08T14:34:01Z</dcterms:created>
  <dcterms:modified xsi:type="dcterms:W3CDTF">2020-10-16T18:02:45Z</dcterms:modified>
</cp:coreProperties>
</file>